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Y:\TOURISME\3_Taxe de Séjour\Boite à outils\Pack start hébergeur\"/>
    </mc:Choice>
  </mc:AlternateContent>
  <xr:revisionPtr revIDLastSave="0" documentId="13_ncr:1_{0EFEA450-9E05-44D3-B89F-EAFD7B983D3E}" xr6:coauthVersionLast="36" xr6:coauthVersionMax="47" xr10:uidLastSave="{00000000-0000-0000-0000-000000000000}"/>
  <workbookProtection workbookAlgorithmName="SHA-512" workbookHashValue="/R0adAtilggtg0IWT+Tjs91nsSJZRxFFaztqia8Xov9LmH+wSc/pfErlxxsVapicJB5NlQPy4nwTXgkA7K3BxA==" workbookSaltValue="jJ6SqOXiqB6v5tGjXPQ7YQ==" workbookSpinCount="100000" lockStructure="1"/>
  <bookViews>
    <workbookView xWindow="0" yWindow="0" windowWidth="17970" windowHeight="5355" firstSheet="1" activeTab="1" xr2:uid="{00000000-000D-0000-FFFF-FFFF00000000}"/>
  </bookViews>
  <sheets>
    <sheet name="simulateur de vol" sheetId="1" state="hidden" r:id="rId1"/>
    <sheet name="OUTIL CALCUL avec 34% et 10%" sheetId="3" r:id="rId2"/>
    <sheet name="Feuil1" sheetId="4" state="hidden" r:id="rId3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5" i="3" l="1"/>
  <c r="C5" i="4"/>
  <c r="C4" i="4"/>
  <c r="C2" i="4"/>
  <c r="C1" i="4"/>
  <c r="C12" i="3" l="1"/>
  <c r="E15" i="1"/>
  <c r="I6" i="1"/>
  <c r="I5" i="1"/>
  <c r="I4" i="1"/>
  <c r="I3" i="1"/>
  <c r="D16" i="1"/>
  <c r="D14" i="1"/>
  <c r="B10" i="1"/>
  <c r="B15" i="1" s="1"/>
  <c r="I16" i="1"/>
  <c r="I13" i="1"/>
  <c r="G16" i="1"/>
  <c r="B16" i="1" s="1"/>
  <c r="B6" i="1"/>
  <c r="H21" i="1"/>
  <c r="I14" i="1"/>
  <c r="G14" i="1"/>
  <c r="I8" i="1"/>
  <c r="B3" i="4" l="1"/>
  <c r="J8" i="3" s="1"/>
  <c r="H1" i="4"/>
  <c r="F1" i="4" s="1"/>
  <c r="H2" i="4"/>
  <c r="F2" i="4" s="1"/>
  <c r="B14" i="1"/>
  <c r="B18" i="1"/>
  <c r="B1" i="4" l="1"/>
  <c r="H4" i="4"/>
  <c r="F4" i="4" s="1"/>
  <c r="H3" i="4"/>
  <c r="H5" i="4"/>
  <c r="F5" i="4" s="1"/>
  <c r="E3" i="4"/>
  <c r="B4" i="4"/>
  <c r="C3" i="4"/>
  <c r="C20" i="3"/>
  <c r="C21" i="3" s="1"/>
  <c r="I20" i="3"/>
  <c r="I15" i="1"/>
  <c r="I7" i="1"/>
  <c r="I10" i="1"/>
  <c r="C15" i="1"/>
  <c r="I9" i="1"/>
  <c r="I11" i="1"/>
  <c r="B6" i="4" l="1"/>
  <c r="I26" i="3" s="1"/>
  <c r="C22" i="3"/>
  <c r="I22" i="3"/>
  <c r="I24" i="3"/>
</calcChain>
</file>

<file path=xl/sharedStrings.xml><?xml version="1.0" encoding="utf-8"?>
<sst xmlns="http://schemas.openxmlformats.org/spreadsheetml/2006/main" count="67" uniqueCount="59">
  <si>
    <t>Nouveau mode</t>
  </si>
  <si>
    <t>PRIX LOCATION SÉJOUR HEBERGEMENT NON CLASSÉ</t>
  </si>
  <si>
    <t>RECAPITULATIF</t>
  </si>
  <si>
    <t>OUI</t>
  </si>
  <si>
    <t>NOMBRE PERSONNES</t>
  </si>
  <si>
    <t>NON</t>
  </si>
  <si>
    <t>NOMBRE TOTAL DE PERSONNES</t>
  </si>
  <si>
    <t>NOMBRE ASSUJETITS</t>
  </si>
  <si>
    <t>NOMBRE d'ADULTES (personnes de plus de 18 ans)</t>
  </si>
  <si>
    <t>DUREE DU SEJOUR (nuits)</t>
  </si>
  <si>
    <t>Nombre moins de 18 ans</t>
  </si>
  <si>
    <t>PRIX DU SEJOUR HT</t>
  </si>
  <si>
    <t>TAXE DE SEJOUR PAR NUIT/PERSONNE</t>
  </si>
  <si>
    <t>NOMBRES DE NUITS DU SÉJOUR</t>
  </si>
  <si>
    <t>TAXE ADDITIONNELLE PAR NUIT/PERSONNE</t>
  </si>
  <si>
    <t>MONTANT TOTAL COLLECTE A DECLARER</t>
  </si>
  <si>
    <t>PRIX LOCATION PAR PERSONNE ET PAR NUIT</t>
  </si>
  <si>
    <t>DONT COLLECTIVITE</t>
  </si>
  <si>
    <t>DONT DEPARTEMENT</t>
  </si>
  <si>
    <t>TAUX DE TAXATION</t>
  </si>
  <si>
    <t>MONTANT TOTAL A COLLECTER pour ce séjour</t>
  </si>
  <si>
    <t>MONTANT TdS par nuit et par adulte</t>
  </si>
  <si>
    <t>Plafonné à</t>
  </si>
  <si>
    <t>par adulte et par nuit</t>
  </si>
  <si>
    <t>M</t>
  </si>
  <si>
    <t>MONTANT TOTAL A COLLECTER PLAFONNÉ</t>
  </si>
  <si>
    <r>
      <t>TARIF MAXIMAL VOT</t>
    </r>
    <r>
      <rPr>
        <b/>
        <sz val="11"/>
        <color theme="1"/>
        <rFont val="Calibri"/>
        <family val="2"/>
      </rPr>
      <t>É</t>
    </r>
  </si>
  <si>
    <t>Mode actuel</t>
  </si>
  <si>
    <t>TARIF PLAFOND APPLICABLE (HOTELS DE TOURISME 4****)</t>
  </si>
  <si>
    <t>taux actuel/nuit/adulte</t>
  </si>
  <si>
    <t>collecte actuelle</t>
  </si>
  <si>
    <t xml:space="preserve">Taxe additionnelle au profit du département </t>
  </si>
  <si>
    <t>MONTANT TOTAL A COLLECTER si non plafonné</t>
  </si>
  <si>
    <t>MONTANT PLAFONNÉ A COLLECTER AVANT TAXES ADDI</t>
  </si>
  <si>
    <t>MONTANT TOTAL A COLLECTER si plafonné</t>
  </si>
  <si>
    <t>Tarif de la Taxe (montant pour la collectivité)</t>
  </si>
  <si>
    <t>TAD 10% (taxe additionnelle départementale)</t>
  </si>
  <si>
    <t>TAR 34% (taxe additionnelle régionale)</t>
  </si>
  <si>
    <t>ETAPE 1</t>
  </si>
  <si>
    <t>ETAPE 2</t>
  </si>
  <si>
    <t>MONTANT DE LA TAXE PAYEE</t>
  </si>
  <si>
    <t>OUTIL DE CALCUL DE LA TAXE DE SEJOUR COMPRENANT LES PARTS DE TAXES ADDITIONNELLES</t>
  </si>
  <si>
    <t>ETAPE 3</t>
  </si>
  <si>
    <t>Attendez que le service Tourisme est vérifié votre déclaration avant de procéder au paiment auprès du Trésor Public</t>
  </si>
  <si>
    <t>Complètez les cases jaunes selon les spécificités de chaque séjour</t>
  </si>
  <si>
    <t xml:space="preserve">Taxe additionnelle régionale (TAR 34%) </t>
  </si>
  <si>
    <t xml:space="preserve">Taxe additionnelle départementale (TAD 10%) </t>
  </si>
  <si>
    <t>TAR par nuit/personne</t>
  </si>
  <si>
    <t>TAD par nuit/personne</t>
  </si>
  <si>
    <t>Taxe de séjour par nuit/personne</t>
  </si>
  <si>
    <t>Nombre total de personnes</t>
  </si>
  <si>
    <t>Nombres de nuits du séjour</t>
  </si>
  <si>
    <t>Cout location par personne/nuit</t>
  </si>
  <si>
    <t>Prix HT location séjour facturé</t>
  </si>
  <si>
    <t>Nombre d'adultes (+18 ans)</t>
  </si>
  <si>
    <t>Nombre de mineurs -18 ans</t>
  </si>
  <si>
    <t>MONTANTS A REPORTER DANS LE REGISTRE LOGEUR</t>
  </si>
  <si>
    <t xml:space="preserve">Reportez les quatre montants affichés des cases bleues sur votre registre logeur </t>
  </si>
  <si>
    <t>TARIF MAXIMAL VOTÉ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</si>
</sst>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0.0%"/>
    <numFmt numFmtId="165" formatCode="_-* #,##0.000\ &quot;€&quot;_-;\-* #,##0.000\ &quot;€&quot;_-;_-* &quot;-&quot;??\ &quot;€&quot;_-;_-@_-"/>
    <numFmt numFmtId="166" formatCode="_-* #,##0.00\ [$€-40C]_-;\-* #,##0.00\ [$€-40C]_-;_-* &quot;-&quot;??\ [$€-40C]_-;_-@_-"/>
  </numFmts>
  <fonts count="33" x14ac:knownFonts="1">
    <font>
      <sz val="11"/>
      <color theme="1"/>
      <name val="Avenir LT Std 35 Light"/>
      <family val="2"/>
      <scheme val="minor"/>
    </font>
    <font>
      <sz val="11"/>
      <color theme="1"/>
      <name val="Avenir LT Std 35 Light"/>
      <family val="2"/>
      <scheme val="minor"/>
    </font>
    <font>
      <b/>
      <sz val="11"/>
      <color theme="1"/>
      <name val="Avenir LT Std 35 Light"/>
      <family val="2"/>
      <scheme val="minor"/>
    </font>
    <font>
      <i/>
      <sz val="11"/>
      <color theme="1"/>
      <name val="Avenir LT Std 35 Light"/>
      <family val="2"/>
      <scheme val="minor"/>
    </font>
    <font>
      <sz val="11"/>
      <color rgb="FFC00000"/>
      <name val="Avenir LT Std 35 Light"/>
      <family val="2"/>
      <scheme val="minor"/>
    </font>
    <font>
      <sz val="11"/>
      <color rgb="FF7030A0"/>
      <name val="Avenir LT Std 35 Light"/>
      <family val="2"/>
      <scheme val="minor"/>
    </font>
    <font>
      <b/>
      <i/>
      <sz val="11"/>
      <color theme="1"/>
      <name val="Avenir LT Std 35 Light"/>
      <family val="2"/>
      <scheme val="minor"/>
    </font>
    <font>
      <b/>
      <i/>
      <sz val="11"/>
      <color rgb="FF7030A0"/>
      <name val="Avenir LT Std 35 Light"/>
      <family val="2"/>
      <scheme val="minor"/>
    </font>
    <font>
      <b/>
      <sz val="11"/>
      <color theme="1"/>
      <name val="Calibri"/>
      <family val="2"/>
    </font>
    <font>
      <b/>
      <sz val="11"/>
      <color rgb="FFC00000"/>
      <name val="Avenir LT Std 35 Light"/>
      <family val="2"/>
      <scheme val="minor"/>
    </font>
    <font>
      <sz val="11"/>
      <color theme="0"/>
      <name val="Avenir LT Std 35 Light"/>
      <family val="2"/>
      <scheme val="minor"/>
    </font>
    <font>
      <sz val="12"/>
      <color theme="0"/>
      <name val="Avenir LT Std 35 Light"/>
      <family val="2"/>
      <scheme val="minor"/>
    </font>
    <font>
      <i/>
      <sz val="11"/>
      <name val="Avenir LT Std 35 Light"/>
      <family val="2"/>
      <scheme val="minor"/>
    </font>
    <font>
      <b/>
      <sz val="12"/>
      <color theme="1"/>
      <name val="Avenir LT Std 35 Light"/>
      <family val="2"/>
      <scheme val="minor"/>
    </font>
    <font>
      <i/>
      <sz val="12"/>
      <color theme="1"/>
      <name val="Avenir LT Std 35 Light"/>
      <family val="2"/>
      <scheme val="minor"/>
    </font>
    <font>
      <sz val="11"/>
      <name val="Avenir LT Std 35 Light"/>
      <family val="2"/>
      <scheme val="minor"/>
    </font>
    <font>
      <i/>
      <sz val="11"/>
      <color theme="0"/>
      <name val="Avenir LT Std 35 Light"/>
      <family val="2"/>
      <scheme val="minor"/>
    </font>
    <font>
      <b/>
      <sz val="12"/>
      <color rgb="FFFF0000"/>
      <name val="Avenir LT Std 35 Light"/>
      <family val="2"/>
      <scheme val="minor"/>
    </font>
    <font>
      <b/>
      <sz val="16"/>
      <color rgb="FFC00000"/>
      <name val="Wingdings"/>
      <charset val="2"/>
    </font>
    <font>
      <sz val="11"/>
      <color theme="0"/>
      <name val="Wingdings"/>
      <charset val="2"/>
    </font>
    <font>
      <b/>
      <sz val="15"/>
      <color theme="3"/>
      <name val="Avenir LT Std 35 Light"/>
      <family val="2"/>
      <scheme val="minor"/>
    </font>
    <font>
      <b/>
      <sz val="12"/>
      <name val="Avenir LT Std 35 Light"/>
      <family val="2"/>
      <scheme val="minor"/>
    </font>
    <font>
      <sz val="12"/>
      <name val="Avenir LT Std 35 Light"/>
      <family val="2"/>
      <scheme val="minor"/>
    </font>
    <font>
      <i/>
      <sz val="12"/>
      <name val="Avenir LT Std 35 Light"/>
      <family val="2"/>
      <scheme val="minor"/>
    </font>
    <font>
      <b/>
      <i/>
      <sz val="11"/>
      <name val="Avenir LT Std 35 Light"/>
      <family val="2"/>
      <scheme val="minor"/>
    </font>
    <font>
      <b/>
      <sz val="11"/>
      <name val="Avenir Next LT Pro"/>
      <family val="2"/>
    </font>
    <font>
      <sz val="11"/>
      <name val="Avenir Next LT Pro"/>
      <family val="2"/>
    </font>
    <font>
      <b/>
      <u/>
      <sz val="11"/>
      <name val="Avenir Next LT Pro"/>
      <family val="2"/>
    </font>
    <font>
      <b/>
      <sz val="11"/>
      <color theme="1"/>
      <name val="Avenir Next LT Pro"/>
      <family val="2"/>
    </font>
    <font>
      <sz val="11"/>
      <color theme="1"/>
      <name val="Avenir Next LT Pro"/>
      <family val="2"/>
    </font>
    <font>
      <i/>
      <sz val="11"/>
      <name val="Avenir Next LT Pro"/>
      <family val="2"/>
    </font>
    <font>
      <b/>
      <u val="singleAccounting"/>
      <sz val="11"/>
      <name val="Avenir Next LT Pro"/>
      <family val="2"/>
    </font>
    <font>
      <b/>
      <i/>
      <sz val="11"/>
      <name val="Avenir Next LT Pro"/>
      <family val="2"/>
    </font>
  </fonts>
  <fills count="11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0" fillId="0" borderId="13" applyNumberFormat="0" applyFill="0" applyAlignment="0" applyProtection="0"/>
  </cellStyleXfs>
  <cellXfs count="143">
    <xf numFmtId="0" fontId="0" fillId="0" borderId="0" xfId="0"/>
    <xf numFmtId="44" fontId="2" fillId="2" borderId="0" xfId="1" applyFont="1" applyFill="1"/>
    <xf numFmtId="164" fontId="0" fillId="0" borderId="1" xfId="0" applyNumberFormat="1" applyBorder="1" applyAlignment="1">
      <alignment horizontal="center"/>
    </xf>
    <xf numFmtId="44" fontId="2" fillId="4" borderId="0" xfId="1" applyFont="1" applyFill="1"/>
    <xf numFmtId="44" fontId="0" fillId="0" borderId="1" xfId="1" applyFont="1" applyBorder="1"/>
    <xf numFmtId="0" fontId="3" fillId="4" borderId="0" xfId="0" applyFont="1" applyFill="1"/>
    <xf numFmtId="0" fontId="0" fillId="0" borderId="1" xfId="0" applyBorder="1"/>
    <xf numFmtId="44" fontId="0" fillId="5" borderId="1" xfId="1" applyFont="1" applyFill="1" applyBorder="1"/>
    <xf numFmtId="44" fontId="0" fillId="0" borderId="0" xfId="1" applyFont="1"/>
    <xf numFmtId="0" fontId="3" fillId="0" borderId="0" xfId="0" applyFont="1"/>
    <xf numFmtId="44" fontId="2" fillId="0" borderId="0" xfId="1" applyFont="1"/>
    <xf numFmtId="0" fontId="4" fillId="0" borderId="0" xfId="0" applyFont="1"/>
    <xf numFmtId="0" fontId="5" fillId="0" borderId="0" xfId="0" applyFont="1"/>
    <xf numFmtId="2" fontId="0" fillId="0" borderId="0" xfId="0" applyNumberFormat="1"/>
    <xf numFmtId="0" fontId="6" fillId="0" borderId="0" xfId="0" applyFont="1"/>
    <xf numFmtId="0" fontId="2" fillId="0" borderId="0" xfId="0" applyFont="1" applyAlignment="1">
      <alignment horizontal="right"/>
    </xf>
    <xf numFmtId="44" fontId="7" fillId="4" borderId="1" xfId="1" applyFont="1" applyFill="1" applyBorder="1"/>
    <xf numFmtId="164" fontId="0" fillId="0" borderId="0" xfId="0" applyNumberFormat="1" applyAlignment="1">
      <alignment horizontal="center"/>
    </xf>
    <xf numFmtId="0" fontId="9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10" fillId="0" borderId="0" xfId="0" applyFont="1"/>
    <xf numFmtId="0" fontId="2" fillId="0" borderId="0" xfId="0" applyFont="1" applyAlignment="1">
      <alignment horizontal="center"/>
    </xf>
    <xf numFmtId="44" fontId="0" fillId="5" borderId="1" xfId="1" applyFont="1" applyFill="1" applyBorder="1" applyAlignment="1">
      <alignment horizontal="center"/>
    </xf>
    <xf numFmtId="44" fontId="13" fillId="3" borderId="0" xfId="1" applyFont="1" applyFill="1"/>
    <xf numFmtId="44" fontId="14" fillId="0" borderId="0" xfId="1" applyFont="1"/>
    <xf numFmtId="0" fontId="15" fillId="0" borderId="0" xfId="0" applyFont="1"/>
    <xf numFmtId="0" fontId="18" fillId="0" borderId="0" xfId="0" applyFont="1" applyAlignment="1">
      <alignment horizontal="center"/>
    </xf>
    <xf numFmtId="0" fontId="6" fillId="4" borderId="0" xfId="0" applyFont="1" applyFill="1" applyAlignment="1">
      <alignment vertical="center"/>
    </xf>
    <xf numFmtId="44" fontId="12" fillId="6" borderId="0" xfId="1" applyFont="1" applyFill="1" applyAlignment="1">
      <alignment vertical="center"/>
    </xf>
    <xf numFmtId="0" fontId="19" fillId="0" borderId="0" xfId="0" applyFont="1"/>
    <xf numFmtId="0" fontId="10" fillId="0" borderId="0" xfId="0" applyFont="1" applyAlignment="1">
      <alignment horizontal="right" vertical="center"/>
    </xf>
    <xf numFmtId="44" fontId="11" fillId="0" borderId="0" xfId="1" applyFont="1" applyAlignment="1">
      <alignment horizontal="center" vertical="center"/>
    </xf>
    <xf numFmtId="0" fontId="10" fillId="0" borderId="0" xfId="0" applyFont="1" applyAlignment="1">
      <alignment vertical="center"/>
    </xf>
    <xf numFmtId="0" fontId="0" fillId="0" borderId="0" xfId="0" applyAlignment="1">
      <alignment vertical="center"/>
    </xf>
    <xf numFmtId="0" fontId="16" fillId="0" borderId="0" xfId="0" applyFont="1" applyAlignment="1">
      <alignment horizontal="left"/>
    </xf>
    <xf numFmtId="44" fontId="10" fillId="0" borderId="0" xfId="1" applyFont="1" applyAlignment="1">
      <alignment horizontal="left"/>
    </xf>
    <xf numFmtId="44" fontId="10" fillId="0" borderId="0" xfId="1" applyFont="1"/>
    <xf numFmtId="44" fontId="16" fillId="0" borderId="0" xfId="1" applyFont="1" applyAlignment="1">
      <alignment horizontal="left"/>
    </xf>
    <xf numFmtId="165" fontId="10" fillId="0" borderId="0" xfId="1" applyNumberFormat="1" applyFont="1"/>
    <xf numFmtId="166" fontId="10" fillId="0" borderId="0" xfId="0" applyNumberFormat="1" applyFont="1"/>
    <xf numFmtId="0" fontId="10" fillId="0" borderId="0" xfId="0" applyFont="1" applyAlignment="1">
      <alignment horizontal="center"/>
    </xf>
    <xf numFmtId="0" fontId="0" fillId="7" borderId="2" xfId="0" applyFill="1" applyBorder="1"/>
    <xf numFmtId="0" fontId="0" fillId="7" borderId="0" xfId="0" applyFill="1"/>
    <xf numFmtId="0" fontId="0" fillId="7" borderId="0" xfId="0" applyFill="1" applyAlignment="1">
      <alignment horizontal="right"/>
    </xf>
    <xf numFmtId="0" fontId="0" fillId="7" borderId="3" xfId="0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44" fontId="0" fillId="7" borderId="3" xfId="0" applyNumberFormat="1" applyFill="1" applyBorder="1" applyAlignment="1">
      <alignment horizontal="center"/>
    </xf>
    <xf numFmtId="44" fontId="0" fillId="7" borderId="3" xfId="1" applyFont="1" applyFill="1" applyBorder="1" applyAlignment="1">
      <alignment horizontal="center"/>
    </xf>
    <xf numFmtId="44" fontId="3" fillId="7" borderId="3" xfId="1" applyFont="1" applyFill="1" applyBorder="1" applyAlignment="1">
      <alignment horizontal="center"/>
    </xf>
    <xf numFmtId="0" fontId="0" fillId="7" borderId="10" xfId="0" applyFill="1" applyBorder="1"/>
    <xf numFmtId="0" fontId="0" fillId="7" borderId="11" xfId="0" applyFill="1" applyBorder="1"/>
    <xf numFmtId="0" fontId="17" fillId="7" borderId="12" xfId="0" applyFont="1" applyFill="1" applyBorder="1" applyAlignment="1">
      <alignment horizontal="right"/>
    </xf>
    <xf numFmtId="44" fontId="17" fillId="7" borderId="1" xfId="1" applyFont="1" applyFill="1" applyBorder="1" applyAlignment="1">
      <alignment horizontal="center"/>
    </xf>
    <xf numFmtId="0" fontId="0" fillId="7" borderId="4" xfId="0" applyFill="1" applyBorder="1"/>
    <xf numFmtId="0" fontId="0" fillId="7" borderId="5" xfId="0" applyFill="1" applyBorder="1"/>
    <xf numFmtId="0" fontId="0" fillId="7" borderId="5" xfId="0" applyFill="1" applyBorder="1" applyAlignment="1">
      <alignment horizontal="right"/>
    </xf>
    <xf numFmtId="44" fontId="3" fillId="7" borderId="6" xfId="1" applyFont="1" applyFill="1" applyBorder="1" applyAlignment="1">
      <alignment horizontal="center"/>
    </xf>
    <xf numFmtId="44" fontId="10" fillId="0" borderId="0" xfId="1" applyFont="1" applyAlignment="1">
      <alignment vertical="center"/>
    </xf>
    <xf numFmtId="0" fontId="15" fillId="0" borderId="0" xfId="0" applyFont="1" applyFill="1"/>
    <xf numFmtId="44" fontId="15" fillId="0" borderId="0" xfId="1" applyFont="1" applyFill="1" applyProtection="1"/>
    <xf numFmtId="44" fontId="21" fillId="0" borderId="0" xfId="1" applyFont="1" applyFill="1" applyProtection="1"/>
    <xf numFmtId="44" fontId="12" fillId="0" borderId="0" xfId="1" applyFont="1" applyFill="1" applyAlignment="1" applyProtection="1">
      <alignment horizontal="left"/>
    </xf>
    <xf numFmtId="44" fontId="12" fillId="0" borderId="0" xfId="1" applyFont="1" applyFill="1" applyProtection="1"/>
    <xf numFmtId="44" fontId="23" fillId="0" borderId="0" xfId="1" applyFont="1" applyFill="1" applyProtection="1"/>
    <xf numFmtId="44" fontId="24" fillId="0" borderId="0" xfId="1" applyFont="1" applyFill="1" applyAlignment="1" applyProtection="1">
      <alignment horizontal="center"/>
    </xf>
    <xf numFmtId="44" fontId="15" fillId="0" borderId="0" xfId="1" applyFont="1" applyFill="1" applyAlignment="1" applyProtection="1">
      <alignment horizontal="right"/>
    </xf>
    <xf numFmtId="44" fontId="22" fillId="0" borderId="0" xfId="1" applyFont="1" applyFill="1" applyAlignment="1" applyProtection="1">
      <alignment horizontal="center"/>
    </xf>
    <xf numFmtId="44" fontId="24" fillId="0" borderId="0" xfId="1" applyFont="1" applyFill="1" applyProtection="1"/>
    <xf numFmtId="44" fontId="15" fillId="0" borderId="0" xfId="1" applyFont="1" applyFill="1" applyAlignment="1" applyProtection="1">
      <alignment horizontal="left"/>
    </xf>
    <xf numFmtId="44" fontId="26" fillId="0" borderId="1" xfId="1" applyFont="1" applyFill="1" applyBorder="1" applyAlignment="1" applyProtection="1">
      <alignment vertical="center"/>
    </xf>
    <xf numFmtId="10" fontId="25" fillId="0" borderId="1" xfId="0" applyNumberFormat="1" applyFont="1" applyFill="1" applyBorder="1" applyAlignment="1" applyProtection="1">
      <alignment horizontal="center" vertical="center"/>
    </xf>
    <xf numFmtId="0" fontId="25" fillId="0" borderId="0" xfId="0" applyFont="1" applyFill="1" applyAlignment="1" applyProtection="1">
      <alignment horizontal="center" vertical="center"/>
    </xf>
    <xf numFmtId="44" fontId="25" fillId="0" borderId="0" xfId="1" applyFont="1" applyFill="1" applyBorder="1" applyAlignment="1" applyProtection="1">
      <alignment vertical="center"/>
    </xf>
    <xf numFmtId="44" fontId="25" fillId="0" borderId="0" xfId="1" applyFont="1" applyFill="1" applyAlignment="1" applyProtection="1">
      <alignment vertical="center"/>
    </xf>
    <xf numFmtId="44" fontId="25" fillId="0" borderId="0" xfId="2" applyNumberFormat="1" applyFont="1" applyFill="1" applyBorder="1" applyAlignment="1" applyProtection="1">
      <alignment horizontal="center" vertical="center"/>
    </xf>
    <xf numFmtId="166" fontId="26" fillId="0" borderId="22" xfId="1" applyNumberFormat="1" applyFont="1" applyFill="1" applyBorder="1" applyAlignment="1" applyProtection="1">
      <alignment vertical="center"/>
    </xf>
    <xf numFmtId="166" fontId="26" fillId="0" borderId="0" xfId="1" applyNumberFormat="1" applyFont="1" applyFill="1" applyBorder="1" applyAlignment="1" applyProtection="1">
      <alignment horizontal="center" vertical="center"/>
    </xf>
    <xf numFmtId="44" fontId="25" fillId="10" borderId="1" xfId="1" applyFont="1" applyFill="1" applyBorder="1" applyAlignment="1" applyProtection="1">
      <alignment horizontal="center" vertical="center"/>
    </xf>
    <xf numFmtId="166" fontId="26" fillId="0" borderId="25" xfId="1" applyNumberFormat="1" applyFont="1" applyFill="1" applyBorder="1" applyAlignment="1" applyProtection="1">
      <alignment vertical="center"/>
    </xf>
    <xf numFmtId="44" fontId="30" fillId="10" borderId="1" xfId="1" applyFont="1" applyFill="1" applyBorder="1" applyAlignment="1" applyProtection="1">
      <alignment horizontal="center" vertical="center"/>
    </xf>
    <xf numFmtId="44" fontId="25" fillId="0" borderId="0" xfId="1" applyFont="1" applyFill="1" applyProtection="1"/>
    <xf numFmtId="44" fontId="26" fillId="10" borderId="1" xfId="1" applyFont="1" applyFill="1" applyBorder="1" applyAlignment="1" applyProtection="1">
      <alignment horizontal="center" vertical="center"/>
    </xf>
    <xf numFmtId="44" fontId="26" fillId="0" borderId="0" xfId="1" applyFont="1" applyFill="1" applyProtection="1"/>
    <xf numFmtId="0" fontId="26" fillId="0" borderId="2" xfId="1" applyNumberFormat="1" applyFont="1" applyFill="1" applyBorder="1" applyAlignment="1" applyProtection="1">
      <alignment horizontal="center"/>
    </xf>
    <xf numFmtId="44" fontId="26" fillId="0" borderId="0" xfId="1" applyFont="1" applyFill="1" applyAlignment="1" applyProtection="1">
      <alignment horizontal="center"/>
    </xf>
    <xf numFmtId="44" fontId="25" fillId="0" borderId="0" xfId="1" applyFont="1" applyFill="1" applyAlignment="1" applyProtection="1">
      <alignment horizontal="center"/>
    </xf>
    <xf numFmtId="44" fontId="25" fillId="0" borderId="0" xfId="1" applyFont="1" applyFill="1" applyAlignment="1" applyProtection="1">
      <alignment horizontal="right"/>
    </xf>
    <xf numFmtId="44" fontId="26" fillId="0" borderId="0" xfId="1" applyFont="1" applyFill="1" applyBorder="1" applyAlignment="1" applyProtection="1">
      <alignment horizontal="center"/>
    </xf>
    <xf numFmtId="2" fontId="26" fillId="0" borderId="0" xfId="1" applyNumberFormat="1" applyFont="1" applyFill="1" applyProtection="1"/>
    <xf numFmtId="44" fontId="30" fillId="0" borderId="0" xfId="1" applyFont="1" applyFill="1" applyProtection="1"/>
    <xf numFmtId="44" fontId="32" fillId="0" borderId="0" xfId="1" applyFont="1" applyFill="1" applyAlignment="1" applyProtection="1">
      <alignment horizontal="center"/>
    </xf>
    <xf numFmtId="44" fontId="26" fillId="0" borderId="0" xfId="1" applyFont="1" applyFill="1" applyAlignment="1" applyProtection="1">
      <alignment horizontal="right"/>
    </xf>
    <xf numFmtId="44" fontId="32" fillId="0" borderId="0" xfId="1" applyFont="1" applyFill="1" applyProtection="1"/>
    <xf numFmtId="44" fontId="32" fillId="0" borderId="0" xfId="1" applyFont="1" applyFill="1" applyAlignment="1" applyProtection="1">
      <alignment horizontal="right"/>
    </xf>
    <xf numFmtId="44" fontId="26" fillId="9" borderId="17" xfId="1" applyFont="1" applyFill="1" applyBorder="1" applyAlignment="1" applyProtection="1">
      <alignment vertical="center"/>
      <protection locked="0"/>
    </xf>
    <xf numFmtId="0" fontId="26" fillId="9" borderId="17" xfId="1" applyNumberFormat="1" applyFont="1" applyFill="1" applyBorder="1" applyAlignment="1" applyProtection="1">
      <alignment vertical="center"/>
      <protection locked="0"/>
    </xf>
    <xf numFmtId="0" fontId="26" fillId="0" borderId="0" xfId="0" applyFont="1" applyFill="1" applyProtection="1"/>
    <xf numFmtId="0" fontId="25" fillId="0" borderId="0" xfId="0" applyFont="1" applyFill="1" applyAlignment="1" applyProtection="1">
      <alignment vertical="center"/>
    </xf>
    <xf numFmtId="0" fontId="25" fillId="0" borderId="0" xfId="0" applyFont="1" applyFill="1" applyBorder="1" applyAlignment="1" applyProtection="1">
      <alignment horizontal="center" vertical="center"/>
    </xf>
    <xf numFmtId="0" fontId="25" fillId="0" borderId="0" xfId="0" applyFont="1" applyFill="1" applyAlignment="1" applyProtection="1">
      <alignment horizontal="right" vertical="center"/>
    </xf>
    <xf numFmtId="0" fontId="26" fillId="0" borderId="0" xfId="0" applyFont="1" applyFill="1" applyAlignment="1" applyProtection="1">
      <alignment vertical="center" wrapText="1"/>
    </xf>
    <xf numFmtId="0" fontId="27" fillId="0" borderId="0" xfId="0" applyFont="1" applyFill="1" applyAlignment="1" applyProtection="1">
      <alignment horizontal="right" vertical="center"/>
    </xf>
    <xf numFmtId="0" fontId="25" fillId="0" borderId="0" xfId="0" applyFont="1" applyFill="1" applyAlignment="1" applyProtection="1">
      <alignment horizontal="center"/>
    </xf>
    <xf numFmtId="0" fontId="26" fillId="0" borderId="0" xfId="0" applyFont="1" applyFill="1" applyAlignment="1" applyProtection="1">
      <alignment vertical="center"/>
    </xf>
    <xf numFmtId="0" fontId="25" fillId="0" borderId="0" xfId="0" applyFont="1" applyFill="1" applyAlignment="1" applyProtection="1">
      <alignment horizontal="right" vertical="center" indent="1"/>
    </xf>
    <xf numFmtId="0" fontId="29" fillId="0" borderId="0" xfId="0" applyFont="1" applyBorder="1" applyAlignment="1" applyProtection="1">
      <alignment horizontal="right" vertical="center"/>
    </xf>
    <xf numFmtId="0" fontId="26" fillId="0" borderId="0" xfId="0" applyFont="1" applyFill="1" applyBorder="1" applyAlignment="1" applyProtection="1">
      <alignment vertical="center"/>
    </xf>
    <xf numFmtId="0" fontId="30" fillId="0" borderId="0" xfId="0" applyFont="1" applyFill="1" applyBorder="1" applyAlignment="1" applyProtection="1">
      <alignment vertical="center"/>
    </xf>
    <xf numFmtId="0" fontId="30" fillId="0" borderId="0" xfId="0" applyFont="1" applyFill="1" applyAlignment="1" applyProtection="1">
      <alignment horizontal="center" vertical="center"/>
    </xf>
    <xf numFmtId="0" fontId="26" fillId="0" borderId="0" xfId="0" applyFont="1" applyFill="1" applyBorder="1" applyProtection="1"/>
    <xf numFmtId="0" fontId="28" fillId="0" borderId="0" xfId="0" applyFont="1" applyBorder="1" applyAlignment="1" applyProtection="1">
      <alignment horizontal="right" vertical="center"/>
    </xf>
    <xf numFmtId="0" fontId="26" fillId="0" borderId="0" xfId="0" applyFont="1" applyFill="1" applyBorder="1" applyAlignment="1" applyProtection="1">
      <alignment horizontal="right" vertical="center"/>
    </xf>
    <xf numFmtId="0" fontId="26" fillId="0" borderId="2" xfId="0" applyFont="1" applyFill="1" applyBorder="1" applyProtection="1"/>
    <xf numFmtId="0" fontId="26" fillId="0" borderId="3" xfId="0" applyFont="1" applyFill="1" applyBorder="1" applyProtection="1"/>
    <xf numFmtId="44" fontId="26" fillId="0" borderId="0" xfId="0" applyNumberFormat="1" applyFont="1" applyFill="1" applyProtection="1"/>
    <xf numFmtId="44" fontId="26" fillId="0" borderId="0" xfId="0" applyNumberFormat="1" applyFont="1" applyFill="1" applyBorder="1" applyAlignment="1" applyProtection="1">
      <alignment horizontal="center" vertical="center"/>
    </xf>
    <xf numFmtId="0" fontId="26" fillId="0" borderId="4" xfId="0" applyFont="1" applyFill="1" applyBorder="1" applyProtection="1"/>
    <xf numFmtId="0" fontId="26" fillId="0" borderId="5" xfId="0" applyFont="1" applyFill="1" applyBorder="1" applyProtection="1"/>
    <xf numFmtId="0" fontId="26" fillId="0" borderId="6" xfId="0" applyFont="1" applyFill="1" applyBorder="1" applyProtection="1"/>
    <xf numFmtId="0" fontId="25" fillId="0" borderId="0" xfId="0" applyFont="1" applyFill="1" applyBorder="1" applyAlignment="1" applyProtection="1">
      <alignment horizontal="right" indent="1"/>
    </xf>
    <xf numFmtId="0" fontId="26" fillId="0" borderId="0" xfId="0" applyFont="1" applyFill="1" applyBorder="1" applyAlignment="1" applyProtection="1">
      <alignment horizontal="right"/>
    </xf>
    <xf numFmtId="0" fontId="2" fillId="7" borderId="7" xfId="0" applyFont="1" applyFill="1" applyBorder="1" applyAlignment="1">
      <alignment horizontal="center"/>
    </xf>
    <xf numFmtId="0" fontId="2" fillId="7" borderId="8" xfId="0" applyFont="1" applyFill="1" applyBorder="1" applyAlignment="1">
      <alignment horizontal="center"/>
    </xf>
    <xf numFmtId="0" fontId="2" fillId="7" borderId="9" xfId="0" applyFont="1" applyFill="1" applyBorder="1" applyAlignment="1">
      <alignment horizontal="center"/>
    </xf>
    <xf numFmtId="0" fontId="28" fillId="0" borderId="0" xfId="0" applyFont="1" applyBorder="1" applyAlignment="1" applyProtection="1">
      <alignment horizontal="right" vertical="center" wrapText="1" indent="1"/>
    </xf>
    <xf numFmtId="0" fontId="28" fillId="0" borderId="0" xfId="0" applyFont="1" applyBorder="1" applyAlignment="1" applyProtection="1">
      <alignment horizontal="right" vertical="center" indent="1"/>
    </xf>
    <xf numFmtId="0" fontId="26" fillId="8" borderId="2" xfId="0" applyFont="1" applyFill="1" applyBorder="1" applyAlignment="1" applyProtection="1">
      <alignment horizontal="right" vertical="center" indent="1"/>
    </xf>
    <xf numFmtId="0" fontId="26" fillId="8" borderId="0" xfId="0" applyFont="1" applyFill="1" applyBorder="1" applyAlignment="1" applyProtection="1">
      <alignment horizontal="right" vertical="center" indent="1"/>
    </xf>
    <xf numFmtId="0" fontId="25" fillId="0" borderId="7" xfId="0" applyFont="1" applyFill="1" applyBorder="1" applyAlignment="1" applyProtection="1">
      <alignment horizontal="center" vertical="center"/>
    </xf>
    <xf numFmtId="0" fontId="25" fillId="0" borderId="8" xfId="0" applyFont="1" applyFill="1" applyBorder="1" applyAlignment="1" applyProtection="1">
      <alignment horizontal="center" vertical="center"/>
    </xf>
    <xf numFmtId="0" fontId="25" fillId="0" borderId="9" xfId="0" applyFont="1" applyFill="1" applyBorder="1" applyAlignment="1" applyProtection="1">
      <alignment horizontal="center" vertical="center"/>
    </xf>
    <xf numFmtId="0" fontId="26" fillId="0" borderId="0" xfId="0" applyFont="1" applyFill="1" applyAlignment="1" applyProtection="1">
      <alignment horizontal="left" vertical="center" wrapText="1" indent="1"/>
    </xf>
    <xf numFmtId="166" fontId="26" fillId="0" borderId="21" xfId="1" applyNumberFormat="1" applyFont="1" applyFill="1" applyBorder="1" applyAlignment="1" applyProtection="1">
      <alignment horizontal="right" vertical="center" wrapText="1"/>
    </xf>
    <xf numFmtId="166" fontId="26" fillId="0" borderId="0" xfId="1" applyNumberFormat="1" applyFont="1" applyFill="1" applyBorder="1" applyAlignment="1" applyProtection="1">
      <alignment horizontal="right" vertical="center" wrapText="1"/>
    </xf>
    <xf numFmtId="166" fontId="26" fillId="0" borderId="23" xfId="1" applyNumberFormat="1" applyFont="1" applyFill="1" applyBorder="1" applyAlignment="1" applyProtection="1">
      <alignment horizontal="right" vertical="center" wrapText="1"/>
    </xf>
    <xf numFmtId="166" fontId="26" fillId="0" borderId="24" xfId="1" applyNumberFormat="1" applyFont="1" applyFill="1" applyBorder="1" applyAlignment="1" applyProtection="1">
      <alignment horizontal="right" vertical="center" wrapText="1"/>
    </xf>
    <xf numFmtId="44" fontId="31" fillId="0" borderId="18" xfId="2" applyNumberFormat="1" applyFont="1" applyFill="1" applyBorder="1" applyAlignment="1" applyProtection="1">
      <alignment horizontal="center" vertical="center"/>
    </xf>
    <xf numFmtId="44" fontId="31" fillId="0" borderId="19" xfId="2" applyNumberFormat="1" applyFont="1" applyFill="1" applyBorder="1" applyAlignment="1" applyProtection="1">
      <alignment horizontal="center" vertical="center"/>
    </xf>
    <xf numFmtId="44" fontId="31" fillId="0" borderId="20" xfId="2" applyNumberFormat="1" applyFont="1" applyFill="1" applyBorder="1" applyAlignment="1" applyProtection="1">
      <alignment horizontal="center" vertical="center"/>
    </xf>
    <xf numFmtId="44" fontId="31" fillId="0" borderId="14" xfId="2" applyNumberFormat="1" applyFont="1" applyFill="1" applyBorder="1" applyAlignment="1" applyProtection="1">
      <alignment horizontal="center" vertical="center"/>
    </xf>
    <xf numFmtId="44" fontId="31" fillId="0" borderId="15" xfId="2" applyNumberFormat="1" applyFont="1" applyFill="1" applyBorder="1" applyAlignment="1" applyProtection="1">
      <alignment horizontal="center" vertical="center"/>
    </xf>
    <xf numFmtId="44" fontId="31" fillId="0" borderId="16" xfId="2" applyNumberFormat="1" applyFont="1" applyFill="1" applyBorder="1" applyAlignment="1" applyProtection="1">
      <alignment horizontal="center" vertical="center"/>
    </xf>
    <xf numFmtId="0" fontId="25" fillId="0" borderId="0" xfId="0" applyFont="1" applyFill="1" applyBorder="1" applyAlignment="1" applyProtection="1">
      <alignment horizontal="center" vertical="center"/>
    </xf>
  </cellXfs>
  <cellStyles count="3">
    <cellStyle name="Monétaire" xfId="1" builtinId="4"/>
    <cellStyle name="Normal" xfId="0" builtinId="0"/>
    <cellStyle name="Titre 1" xfId="2" builtinId="16"/>
  </cellStyles>
  <dxfs count="8">
    <dxf>
      <font>
        <b val="0"/>
        <i val="0"/>
        <strike val="0"/>
        <color theme="0" tint="-0.24994659260841701"/>
      </font>
      <fill>
        <patternFill patternType="solid">
          <bgColor theme="0" tint="-0.24994659260841701"/>
        </patternFill>
      </fill>
    </dxf>
    <dxf>
      <font>
        <color theme="0"/>
      </font>
    </dxf>
    <dxf>
      <font>
        <b/>
        <i val="0"/>
        <color rgb="FFFF0000"/>
      </font>
    </dxf>
    <dxf>
      <font>
        <b val="0"/>
        <i val="0"/>
        <strike val="0"/>
        <color theme="0"/>
      </font>
    </dxf>
    <dxf>
      <font>
        <b/>
        <i val="0"/>
      </font>
      <fill>
        <patternFill>
          <bgColor rgb="FFFFC000"/>
        </patternFill>
      </fill>
    </dxf>
    <dxf>
      <font>
        <color theme="0"/>
      </font>
      <fill>
        <patternFill>
          <bgColor theme="0"/>
        </patternFill>
      </fill>
    </dxf>
    <dxf>
      <font>
        <b/>
        <i/>
        <color rgb="FFC00000"/>
      </font>
      <fill>
        <patternFill>
          <bgColor rgb="FFFFFF00"/>
        </patternFill>
      </fill>
    </dxf>
    <dxf>
      <font>
        <color theme="0"/>
      </font>
      <fill>
        <patternFill>
          <bgColor theme="0"/>
        </patternFill>
      </fill>
    </dxf>
  </dxfs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74518</xdr:colOff>
      <xdr:row>0</xdr:row>
      <xdr:rowOff>0</xdr:rowOff>
    </xdr:from>
    <xdr:to>
      <xdr:col>0</xdr:col>
      <xdr:colOff>1522318</xdr:colOff>
      <xdr:row>4</xdr:row>
      <xdr:rowOff>217552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8E05E5D0-AD2C-471F-B72A-8A735ABE8C3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6476"/>
        <a:stretch/>
      </xdr:blipFill>
      <xdr:spPr>
        <a:xfrm>
          <a:off x="74518" y="0"/>
          <a:ext cx="1447800" cy="16182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CC AAG">
  <a:themeElements>
    <a:clrScheme name="CC AAG">
      <a:dk1>
        <a:srgbClr val="003241"/>
      </a:dk1>
      <a:lt1>
        <a:srgbClr val="FFFFFF"/>
      </a:lt1>
      <a:dk2>
        <a:srgbClr val="44546A"/>
      </a:dk2>
      <a:lt2>
        <a:srgbClr val="FFFFFF"/>
      </a:lt2>
      <a:accent1>
        <a:srgbClr val="9FD5DA"/>
      </a:accent1>
      <a:accent2>
        <a:srgbClr val="FCE10B"/>
      </a:accent2>
      <a:accent3>
        <a:srgbClr val="568154"/>
      </a:accent3>
      <a:accent4>
        <a:srgbClr val="97AC86"/>
      </a:accent4>
      <a:accent5>
        <a:srgbClr val="003241"/>
      </a:accent5>
      <a:accent6>
        <a:srgbClr val="9FD5DA"/>
      </a:accent6>
      <a:hlink>
        <a:srgbClr val="0563C1"/>
      </a:hlink>
      <a:folHlink>
        <a:srgbClr val="954F72"/>
      </a:folHlink>
    </a:clrScheme>
    <a:fontScheme name="CC AAG">
      <a:majorFont>
        <a:latin typeface="Avenir LT Std 55 Roman"/>
        <a:ea typeface=""/>
        <a:cs typeface=""/>
      </a:majorFont>
      <a:minorFont>
        <a:latin typeface="Avenir LT Std 35 Light"/>
        <a:ea typeface=""/>
        <a:cs typeface=""/>
      </a:minorFont>
    </a:fontScheme>
    <a:fmtScheme name="Rétrospective">
      <a:fillStyleLst>
        <a:solidFill>
          <a:schemeClr val="phClr"/>
        </a:solidFill>
        <a:gradFill rotWithShape="1">
          <a:gsLst>
            <a:gs pos="0">
              <a:schemeClr val="phClr">
                <a:tint val="65000"/>
                <a:shade val="92000"/>
                <a:satMod val="130000"/>
              </a:schemeClr>
            </a:gs>
            <a:gs pos="45000">
              <a:schemeClr val="phClr">
                <a:tint val="60000"/>
                <a:shade val="99000"/>
                <a:satMod val="120000"/>
              </a:schemeClr>
            </a:gs>
            <a:gs pos="100000">
              <a:schemeClr val="phClr">
                <a:tint val="55000"/>
                <a:satMod val="140000"/>
              </a:schemeClr>
            </a:gs>
          </a:gsLst>
          <a:path path="circle">
            <a:fillToRect l="100000" t="100000" r="100000" b="100000"/>
          </a:path>
        </a:gradFill>
        <a:gradFill rotWithShape="1">
          <a:gsLst>
            <a:gs pos="0">
              <a:schemeClr val="phClr">
                <a:shade val="85000"/>
                <a:satMod val="130000"/>
              </a:schemeClr>
            </a:gs>
            <a:gs pos="34000">
              <a:schemeClr val="phClr">
                <a:shade val="87000"/>
                <a:satMod val="125000"/>
              </a:schemeClr>
            </a:gs>
            <a:gs pos="70000">
              <a:schemeClr val="phClr">
                <a:tint val="100000"/>
                <a:shade val="90000"/>
                <a:satMod val="130000"/>
              </a:schemeClr>
            </a:gs>
            <a:gs pos="100000">
              <a:schemeClr val="phClr">
                <a:tint val="100000"/>
                <a:shade val="100000"/>
                <a:satMod val="110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12700" cap="flat" cmpd="sng" algn="ctr">
          <a:solidFill>
            <a:schemeClr val="phClr"/>
          </a:solidFill>
          <a:prstDash val="solid"/>
        </a:ln>
        <a:ln w="15875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</a:effectStyle>
        <a:effectStyle>
          <a:effectLst>
            <a:outerShdw blurRad="44450" dist="25400" dir="2700000" algn="br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9800000"/>
            </a:lightRig>
          </a:scene3d>
          <a:sp3d prstMaterial="flat">
            <a:bevelT w="25400" h="31750"/>
          </a:sp3d>
        </a:effectStyle>
      </a:effectStyleLst>
      <a:bgFillStyleLst>
        <a:solidFill>
          <a:schemeClr val="phClr"/>
        </a:solidFill>
        <a:solidFill>
          <a:schemeClr val="phClr">
            <a:tint val="90000"/>
            <a:shade val="97000"/>
            <a:satMod val="130000"/>
          </a:schemeClr>
        </a:solidFill>
        <a:gradFill rotWithShape="1">
          <a:gsLst>
            <a:gs pos="0">
              <a:schemeClr val="phClr">
                <a:tint val="96000"/>
                <a:shade val="99000"/>
                <a:satMod val="140000"/>
              </a:schemeClr>
            </a:gs>
            <a:gs pos="65000">
              <a:schemeClr val="phClr">
                <a:tint val="100000"/>
                <a:shade val="80000"/>
                <a:satMod val="130000"/>
              </a:schemeClr>
            </a:gs>
            <a:gs pos="100000">
              <a:schemeClr val="phClr">
                <a:tint val="100000"/>
                <a:shade val="48000"/>
                <a:satMod val="120000"/>
              </a:schemeClr>
            </a:gs>
          </a:gsLst>
          <a:lin ang="162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Thème1" id="{1E4C8B22-3B5C-4E9D-B401-16D26AB016E5}" vid="{D076D09A-ADF7-4162-A6E7-42ABBE1E81CC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2"/>
  <sheetViews>
    <sheetView showGridLines="0" zoomScaleNormal="100" workbookViewId="0">
      <selection activeCell="D19" sqref="D19"/>
    </sheetView>
  </sheetViews>
  <sheetFormatPr baseColWidth="10" defaultColWidth="11.375" defaultRowHeight="15" x14ac:dyDescent="0.25"/>
  <cols>
    <col min="1" max="1" width="48.375" customWidth="1"/>
    <col min="2" max="2" width="14.5" customWidth="1"/>
    <col min="3" max="3" width="4.875" customWidth="1"/>
    <col min="4" max="4" width="11.875" customWidth="1"/>
    <col min="5" max="5" width="9.25" customWidth="1"/>
  </cols>
  <sheetData>
    <row r="1" spans="1:13" ht="15.75" thickBot="1" x14ac:dyDescent="0.3">
      <c r="B1" s="11" t="s">
        <v>0</v>
      </c>
      <c r="J1" s="25"/>
      <c r="K1" s="25"/>
      <c r="L1" s="25"/>
    </row>
    <row r="2" spans="1:13" ht="15.75" thickBot="1" x14ac:dyDescent="0.3">
      <c r="A2" t="s">
        <v>1</v>
      </c>
      <c r="B2" s="4">
        <v>500</v>
      </c>
      <c r="C2" s="8"/>
      <c r="E2" s="121" t="s">
        <v>2</v>
      </c>
      <c r="F2" s="122"/>
      <c r="G2" s="122"/>
      <c r="H2" s="122"/>
      <c r="I2" s="123"/>
      <c r="J2" s="25"/>
      <c r="K2" s="20" t="s">
        <v>3</v>
      </c>
      <c r="L2" s="25"/>
    </row>
    <row r="3" spans="1:13" ht="15.75" thickBot="1" x14ac:dyDescent="0.3">
      <c r="E3" s="41"/>
      <c r="F3" s="42"/>
      <c r="G3" s="42"/>
      <c r="H3" s="43" t="s">
        <v>4</v>
      </c>
      <c r="I3" s="44">
        <f>B4</f>
        <v>4</v>
      </c>
      <c r="J3" s="25"/>
      <c r="K3" s="20" t="s">
        <v>5</v>
      </c>
      <c r="L3" s="25"/>
    </row>
    <row r="4" spans="1:13" ht="15.75" thickBot="1" x14ac:dyDescent="0.3">
      <c r="A4" t="s">
        <v>6</v>
      </c>
      <c r="B4" s="6">
        <v>4</v>
      </c>
      <c r="E4" s="41"/>
      <c r="F4" s="42"/>
      <c r="G4" s="42"/>
      <c r="H4" s="43" t="s">
        <v>7</v>
      </c>
      <c r="I4" s="45">
        <f>B5</f>
        <v>2</v>
      </c>
      <c r="J4" s="25"/>
      <c r="K4" s="25"/>
      <c r="L4" s="25"/>
    </row>
    <row r="5" spans="1:13" ht="15.75" thickBot="1" x14ac:dyDescent="0.3">
      <c r="A5" t="s">
        <v>8</v>
      </c>
      <c r="B5" s="6">
        <v>2</v>
      </c>
      <c r="E5" s="41"/>
      <c r="F5" s="42"/>
      <c r="G5" s="42"/>
      <c r="H5" s="43" t="s">
        <v>9</v>
      </c>
      <c r="I5" s="45">
        <f>B8</f>
        <v>7</v>
      </c>
      <c r="J5" s="25"/>
      <c r="K5" s="25"/>
      <c r="L5" s="25"/>
    </row>
    <row r="6" spans="1:13" x14ac:dyDescent="0.25">
      <c r="A6" s="5" t="s">
        <v>10</v>
      </c>
      <c r="B6" s="5">
        <f>B4-B5</f>
        <v>2</v>
      </c>
      <c r="C6" s="9"/>
      <c r="E6" s="41"/>
      <c r="F6" s="42"/>
      <c r="G6" s="42"/>
      <c r="H6" s="43" t="s">
        <v>11</v>
      </c>
      <c r="I6" s="46">
        <f>B2</f>
        <v>500</v>
      </c>
      <c r="J6" s="25"/>
    </row>
    <row r="7" spans="1:13" ht="15.75" thickBot="1" x14ac:dyDescent="0.3">
      <c r="E7" s="41"/>
      <c r="F7" s="42"/>
      <c r="G7" s="42"/>
      <c r="H7" s="43" t="s">
        <v>12</v>
      </c>
      <c r="I7" s="47">
        <f>IF(B18="DEPASSEMENT",(I16/B8/B5),B15)</f>
        <v>0.62500000000000011</v>
      </c>
      <c r="J7" s="25"/>
    </row>
    <row r="8" spans="1:13" ht="15.75" thickBot="1" x14ac:dyDescent="0.3">
      <c r="A8" t="s">
        <v>13</v>
      </c>
      <c r="B8" s="6">
        <v>7</v>
      </c>
      <c r="E8" s="41"/>
      <c r="F8" s="42"/>
      <c r="G8" s="42"/>
      <c r="H8" s="43" t="s">
        <v>14</v>
      </c>
      <c r="I8" s="48">
        <f>(IF(D22="OUI",(I15*10%),0)/B8)/B5</f>
        <v>0</v>
      </c>
      <c r="J8" s="25"/>
    </row>
    <row r="9" spans="1:13" ht="16.5" thickBot="1" x14ac:dyDescent="0.3">
      <c r="E9" s="49"/>
      <c r="F9" s="50"/>
      <c r="G9" s="50"/>
      <c r="H9" s="51" t="s">
        <v>15</v>
      </c>
      <c r="I9" s="52">
        <f>IF(B18="depassement",B16,B14)</f>
        <v>8.7500000000000018</v>
      </c>
      <c r="J9" s="25"/>
    </row>
    <row r="10" spans="1:13" x14ac:dyDescent="0.25">
      <c r="A10" t="s">
        <v>16</v>
      </c>
      <c r="B10" s="3">
        <f>(B2/(B8))/B4</f>
        <v>17.857142857142858</v>
      </c>
      <c r="C10" s="10"/>
      <c r="E10" s="41"/>
      <c r="F10" s="42"/>
      <c r="G10" s="42"/>
      <c r="H10" s="43" t="s">
        <v>17</v>
      </c>
      <c r="I10" s="47">
        <f>IF(B18="depassement",I16,I14)</f>
        <v>8.7500000000000018</v>
      </c>
      <c r="J10" s="25"/>
      <c r="K10" s="25"/>
      <c r="L10" s="25"/>
    </row>
    <row r="11" spans="1:13" ht="15.75" thickBot="1" x14ac:dyDescent="0.3">
      <c r="E11" s="53"/>
      <c r="F11" s="54"/>
      <c r="G11" s="54"/>
      <c r="H11" s="55" t="s">
        <v>18</v>
      </c>
      <c r="I11" s="56">
        <f>IF(B18="depassement",G16,G14)</f>
        <v>0</v>
      </c>
    </row>
    <row r="12" spans="1:13" ht="15.75" thickBot="1" x14ac:dyDescent="0.3">
      <c r="A12" t="s">
        <v>19</v>
      </c>
      <c r="B12" s="2">
        <v>3.5000000000000003E-2</v>
      </c>
      <c r="C12" s="17"/>
    </row>
    <row r="13" spans="1:13" x14ac:dyDescent="0.25">
      <c r="I13" s="40" t="str">
        <f>IF(D22="oui","Montant hors taxe additionnelle","")</f>
        <v/>
      </c>
    </row>
    <row r="14" spans="1:13" ht="15.75" x14ac:dyDescent="0.25">
      <c r="A14" t="s">
        <v>20</v>
      </c>
      <c r="B14" s="23">
        <f>(B15*B8*B5)+G14</f>
        <v>8.7500000000000018</v>
      </c>
      <c r="D14" s="37" t="str">
        <f>IF(D22="OUI","Montant taxe additionnelle :","")</f>
        <v/>
      </c>
      <c r="E14" s="20"/>
      <c r="F14" s="20"/>
      <c r="G14" s="38">
        <f>IF(D22="OUI",(I14*10%),0)</f>
        <v>0</v>
      </c>
      <c r="H14" s="20"/>
      <c r="I14" s="39">
        <f>((B10*B12)*(B8))*B5</f>
        <v>8.7500000000000018</v>
      </c>
      <c r="J14" s="20"/>
    </row>
    <row r="15" spans="1:13" ht="19.5" x14ac:dyDescent="0.25">
      <c r="A15" s="27" t="s">
        <v>21</v>
      </c>
      <c r="B15" s="28">
        <f>B10*B12</f>
        <v>0.62500000000000011</v>
      </c>
      <c r="C15" s="26" t="str">
        <f>IF(B18="DEPASSEMENT",M15,"")</f>
        <v/>
      </c>
      <c r="D15" s="30" t="s">
        <v>22</v>
      </c>
      <c r="E15" s="31">
        <f>IF(D18&lt;=D20,D18,IF(D18&gt;D20,D20,""))</f>
        <v>2.2999999999999998</v>
      </c>
      <c r="F15" s="32" t="s">
        <v>23</v>
      </c>
      <c r="G15" s="33"/>
      <c r="H15" s="33"/>
      <c r="I15" s="57">
        <f>IF(B18="depassement",I16,I14)</f>
        <v>8.7500000000000018</v>
      </c>
      <c r="M15" s="29" t="s">
        <v>24</v>
      </c>
    </row>
    <row r="16" spans="1:13" ht="15.75" x14ac:dyDescent="0.25">
      <c r="A16" s="14" t="s">
        <v>25</v>
      </c>
      <c r="B16" s="24">
        <f>IF(D18&lt;D20,D18*B8*B5,D20*B8*B5)+G16</f>
        <v>32.199999999999996</v>
      </c>
      <c r="D16" s="34" t="str">
        <f>IF(D22="OUI","Montant taxe additionnelle :","")</f>
        <v/>
      </c>
      <c r="E16" s="20"/>
      <c r="F16" s="20"/>
      <c r="G16" s="35">
        <f>IF(D22="OUI",(I16*10%),0)</f>
        <v>0</v>
      </c>
      <c r="H16" s="20"/>
      <c r="I16" s="36">
        <f>IF(D18&lt;D20,D18*B8*B5,D20*B8*B5)</f>
        <v>32.199999999999996</v>
      </c>
    </row>
    <row r="17" spans="1:9" ht="15.75" thickBot="1" x14ac:dyDescent="0.3"/>
    <row r="18" spans="1:9" ht="15.75" thickBot="1" x14ac:dyDescent="0.3">
      <c r="A18" s="15" t="s">
        <v>26</v>
      </c>
      <c r="B18" s="21" t="str">
        <f>IF(B15&gt;D20,"DEPASSEMENT",IF(B15&gt;D18,"DEPASSEMENT",""))</f>
        <v/>
      </c>
      <c r="D18" s="7">
        <v>2.2999999999999998</v>
      </c>
      <c r="H18" s="12" t="s">
        <v>27</v>
      </c>
    </row>
    <row r="19" spans="1:9" ht="15.75" thickBot="1" x14ac:dyDescent="0.3">
      <c r="D19" s="13"/>
    </row>
    <row r="20" spans="1:9" ht="15.75" thickBot="1" x14ac:dyDescent="0.3">
      <c r="B20" s="19" t="s">
        <v>28</v>
      </c>
      <c r="D20" s="16">
        <v>2.2999999999999998</v>
      </c>
      <c r="H20" s="22">
        <v>0.4</v>
      </c>
      <c r="I20" t="s">
        <v>29</v>
      </c>
    </row>
    <row r="21" spans="1:9" x14ac:dyDescent="0.25">
      <c r="H21" s="1">
        <f>(H20*(B8)*B5)</f>
        <v>5.6000000000000005</v>
      </c>
      <c r="I21" t="s">
        <v>30</v>
      </c>
    </row>
    <row r="22" spans="1:9" x14ac:dyDescent="0.25">
      <c r="B22" s="15" t="s">
        <v>31</v>
      </c>
      <c r="D22" s="18" t="s">
        <v>5</v>
      </c>
    </row>
  </sheetData>
  <mergeCells count="1">
    <mergeCell ref="E2:I2"/>
  </mergeCells>
  <conditionalFormatting sqref="A14:B14">
    <cfRule type="expression" dxfId="7" priority="16">
      <formula>$B18="DEPASSEMENT"</formula>
    </cfRule>
  </conditionalFormatting>
  <conditionalFormatting sqref="A15:B15">
    <cfRule type="expression" dxfId="6" priority="12">
      <formula>$B$18="DEPASSEMENT"</formula>
    </cfRule>
  </conditionalFormatting>
  <conditionalFormatting sqref="A16:B16">
    <cfRule type="expression" dxfId="5" priority="13">
      <formula>$B$18=""</formula>
    </cfRule>
  </conditionalFormatting>
  <conditionalFormatting sqref="B16">
    <cfRule type="expression" dxfId="4" priority="15">
      <formula>$B$18="DEPASSEMENT"</formula>
    </cfRule>
  </conditionalFormatting>
  <conditionalFormatting sqref="B18:C18">
    <cfRule type="cellIs" dxfId="3" priority="18" operator="equal">
      <formula>"DEPASSEMENT"</formula>
    </cfRule>
  </conditionalFormatting>
  <conditionalFormatting sqref="D15:F15">
    <cfRule type="expression" dxfId="2" priority="10">
      <formula>$B$18="DEPASSEMENT"</formula>
    </cfRule>
  </conditionalFormatting>
  <conditionalFormatting sqref="I13">
    <cfRule type="expression" dxfId="1" priority="3">
      <formula>$D$22="non"</formula>
    </cfRule>
  </conditionalFormatting>
  <dataValidations count="1">
    <dataValidation type="list" allowBlank="1" showInputMessage="1" showErrorMessage="1" sqref="D22" xr:uid="{6ECB892B-5F1C-4246-87FC-BF940936DD96}">
      <formula1>$K$2:$K$3</formula1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9F441B-2096-450B-839B-E53035CCBF16}">
  <dimension ref="A1:M44"/>
  <sheetViews>
    <sheetView showGridLines="0" tabSelected="1" view="pageLayout" topLeftCell="A2" zoomScale="85" zoomScaleNormal="100" zoomScalePageLayoutView="85" workbookViewId="0">
      <selection activeCell="C8" sqref="C8"/>
    </sheetView>
  </sheetViews>
  <sheetFormatPr baseColWidth="10" defaultColWidth="11.375" defaultRowHeight="15" x14ac:dyDescent="0.25"/>
  <cols>
    <col min="1" max="1" width="25.5" style="96" customWidth="1"/>
    <col min="2" max="2" width="14.5" style="96" customWidth="1"/>
    <col min="3" max="3" width="11.625" style="96" customWidth="1"/>
    <col min="4" max="4" width="4.875" style="96" customWidth="1"/>
    <col min="5" max="5" width="1.75" style="96" customWidth="1"/>
    <col min="6" max="6" width="30" style="96" customWidth="1"/>
    <col min="7" max="7" width="18.625" style="96" customWidth="1"/>
    <col min="8" max="8" width="9.25" style="96" customWidth="1"/>
    <col min="9" max="9" width="11.375" style="96" customWidth="1"/>
    <col min="10" max="10" width="8.75" style="96" customWidth="1"/>
    <col min="11" max="16384" width="11.375" style="96"/>
  </cols>
  <sheetData>
    <row r="1" spans="1:13" ht="51.75" customHeight="1" thickBot="1" x14ac:dyDescent="0.3">
      <c r="B1" s="128" t="s">
        <v>41</v>
      </c>
      <c r="C1" s="129"/>
      <c r="D1" s="129"/>
      <c r="E1" s="129"/>
      <c r="F1" s="129"/>
      <c r="G1" s="129"/>
      <c r="H1" s="129"/>
      <c r="I1" s="130"/>
      <c r="J1" s="97"/>
      <c r="K1" s="97"/>
      <c r="L1" s="97"/>
      <c r="M1" s="97"/>
    </row>
    <row r="2" spans="1:13" x14ac:dyDescent="0.25">
      <c r="B2" s="98"/>
      <c r="C2" s="98"/>
      <c r="D2" s="98"/>
      <c r="E2" s="98"/>
      <c r="F2" s="98"/>
      <c r="G2" s="98"/>
      <c r="H2" s="98"/>
      <c r="I2" s="98"/>
      <c r="J2" s="97"/>
      <c r="K2" s="97"/>
      <c r="L2" s="97"/>
      <c r="M2" s="97"/>
    </row>
    <row r="3" spans="1:13" ht="28.5" customHeight="1" x14ac:dyDescent="0.25">
      <c r="B3" s="99" t="s">
        <v>38</v>
      </c>
      <c r="C3" s="131" t="s">
        <v>44</v>
      </c>
      <c r="D3" s="131"/>
      <c r="E3" s="131"/>
      <c r="F3" s="131"/>
      <c r="G3" s="131"/>
      <c r="H3" s="131"/>
      <c r="I3" s="131"/>
      <c r="J3" s="100"/>
      <c r="K3" s="100"/>
      <c r="L3" s="100"/>
      <c r="M3" s="100"/>
    </row>
    <row r="4" spans="1:13" x14ac:dyDescent="0.25">
      <c r="A4" s="101"/>
      <c r="B4" s="99" t="s">
        <v>39</v>
      </c>
      <c r="C4" s="131" t="s">
        <v>57</v>
      </c>
      <c r="D4" s="131"/>
      <c r="E4" s="131"/>
      <c r="F4" s="131"/>
      <c r="G4" s="131"/>
      <c r="H4" s="131"/>
      <c r="I4" s="131"/>
      <c r="J4" s="100"/>
      <c r="K4" s="100"/>
      <c r="L4" s="100"/>
      <c r="M4" s="100"/>
    </row>
    <row r="5" spans="1:13" ht="36" customHeight="1" x14ac:dyDescent="0.25">
      <c r="A5" s="71"/>
      <c r="B5" s="99" t="s">
        <v>42</v>
      </c>
      <c r="C5" s="131" t="s">
        <v>43</v>
      </c>
      <c r="D5" s="131"/>
      <c r="E5" s="131"/>
      <c r="F5" s="131"/>
      <c r="G5" s="131"/>
      <c r="H5" s="131"/>
      <c r="I5" s="131"/>
      <c r="J5" s="100"/>
      <c r="K5" s="100"/>
      <c r="L5" s="100"/>
      <c r="M5" s="100"/>
    </row>
    <row r="6" spans="1:13" x14ac:dyDescent="0.25">
      <c r="A6" s="71"/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</row>
    <row r="7" spans="1:13" ht="15.75" thickBot="1" x14ac:dyDescent="0.3">
      <c r="B7" s="102"/>
    </row>
    <row r="8" spans="1:13" ht="15.75" thickBot="1" x14ac:dyDescent="0.3">
      <c r="A8" s="125" t="s">
        <v>53</v>
      </c>
      <c r="B8" s="125"/>
      <c r="C8" s="94">
        <v>100</v>
      </c>
      <c r="D8" s="103"/>
      <c r="E8" s="103"/>
      <c r="F8" s="103"/>
      <c r="G8" s="103"/>
      <c r="H8" s="104" t="s">
        <v>58</v>
      </c>
      <c r="I8" s="69">
        <v>2.2999999999999998</v>
      </c>
      <c r="J8" s="71" t="str">
        <f>IF(Feuil1!B3&gt;I8,"DEPASSEMENT",IF(Feuil1!B3&gt;I8,"DEPASSEMENT",""))</f>
        <v/>
      </c>
    </row>
    <row r="9" spans="1:13" ht="15.75" thickBot="1" x14ac:dyDescent="0.3">
      <c r="A9" s="105"/>
      <c r="B9" s="105"/>
      <c r="C9" s="106"/>
      <c r="D9" s="103"/>
      <c r="E9" s="103"/>
      <c r="F9" s="103"/>
      <c r="G9" s="103"/>
      <c r="H9" s="103"/>
      <c r="I9" s="103"/>
      <c r="J9" s="103"/>
    </row>
    <row r="10" spans="1:13" ht="15.75" thickBot="1" x14ac:dyDescent="0.3">
      <c r="A10" s="125" t="s">
        <v>50</v>
      </c>
      <c r="B10" s="125"/>
      <c r="C10" s="95">
        <v>6</v>
      </c>
      <c r="D10" s="103"/>
      <c r="E10" s="103"/>
      <c r="F10" s="103"/>
      <c r="G10" s="103"/>
      <c r="H10" s="104" t="s">
        <v>19</v>
      </c>
      <c r="I10" s="70">
        <v>0.03</v>
      </c>
      <c r="J10" s="103"/>
    </row>
    <row r="11" spans="1:13" x14ac:dyDescent="0.25">
      <c r="A11" s="124" t="s">
        <v>54</v>
      </c>
      <c r="B11" s="124"/>
      <c r="C11" s="95">
        <v>5</v>
      </c>
      <c r="D11" s="103"/>
      <c r="E11" s="103"/>
      <c r="F11" s="103"/>
      <c r="G11" s="103"/>
      <c r="H11" s="103"/>
      <c r="I11" s="103"/>
      <c r="J11" s="103"/>
    </row>
    <row r="12" spans="1:13" x14ac:dyDescent="0.25">
      <c r="A12" s="125" t="s">
        <v>55</v>
      </c>
      <c r="B12" s="125"/>
      <c r="C12" s="107">
        <f>C10-C11</f>
        <v>1</v>
      </c>
      <c r="D12" s="103"/>
      <c r="E12" s="108"/>
      <c r="F12" s="103"/>
      <c r="G12" s="103"/>
      <c r="H12" s="99" t="s">
        <v>45</v>
      </c>
      <c r="I12" s="71" t="s">
        <v>3</v>
      </c>
      <c r="J12" s="103"/>
    </row>
    <row r="13" spans="1:13" x14ac:dyDescent="0.25">
      <c r="A13" s="125" t="s">
        <v>51</v>
      </c>
      <c r="B13" s="125"/>
      <c r="C13" s="95">
        <v>2</v>
      </c>
      <c r="D13" s="103"/>
      <c r="E13" s="103"/>
      <c r="F13" s="103"/>
      <c r="G13" s="103"/>
      <c r="H13" s="99" t="s">
        <v>46</v>
      </c>
      <c r="I13" s="71" t="s">
        <v>3</v>
      </c>
      <c r="J13" s="103"/>
    </row>
    <row r="14" spans="1:13" x14ac:dyDescent="0.25">
      <c r="A14" s="109"/>
      <c r="B14" s="109"/>
      <c r="C14" s="109"/>
      <c r="D14" s="103"/>
      <c r="E14" s="103"/>
      <c r="F14" s="103"/>
      <c r="G14" s="103"/>
      <c r="H14" s="103"/>
      <c r="I14" s="103"/>
      <c r="J14" s="103"/>
    </row>
    <row r="15" spans="1:13" x14ac:dyDescent="0.25">
      <c r="A15" s="125" t="s">
        <v>52</v>
      </c>
      <c r="B15" s="125"/>
      <c r="C15" s="72">
        <f>(C8/(C13))/C10</f>
        <v>8.3333333333333339</v>
      </c>
      <c r="D15" s="103"/>
      <c r="E15" s="103"/>
      <c r="F15" s="142"/>
      <c r="G15" s="142"/>
      <c r="H15" s="142"/>
      <c r="I15" s="142"/>
      <c r="J15" s="142"/>
    </row>
    <row r="16" spans="1:13" x14ac:dyDescent="0.25">
      <c r="A16" s="110"/>
      <c r="B16" s="110"/>
      <c r="C16" s="72"/>
      <c r="D16" s="103"/>
      <c r="E16" s="103"/>
      <c r="F16" s="98"/>
      <c r="G16" s="98"/>
      <c r="H16" s="98"/>
      <c r="I16" s="98"/>
      <c r="J16" s="98"/>
    </row>
    <row r="17" spans="1:12" x14ac:dyDescent="0.25">
      <c r="A17" s="110"/>
      <c r="B17" s="110"/>
      <c r="C17" s="72"/>
      <c r="D17" s="103"/>
      <c r="E17" s="103"/>
      <c r="F17" s="98"/>
      <c r="G17" s="98"/>
      <c r="H17" s="98"/>
      <c r="I17" s="98"/>
      <c r="J17" s="98"/>
    </row>
    <row r="18" spans="1:12" ht="15.75" thickBot="1" x14ac:dyDescent="0.3">
      <c r="A18" s="103"/>
      <c r="B18" s="73"/>
      <c r="C18" s="103"/>
      <c r="D18" s="103"/>
      <c r="E18" s="103"/>
      <c r="F18" s="106"/>
      <c r="G18" s="106"/>
      <c r="H18" s="106"/>
      <c r="I18" s="111"/>
      <c r="J18" s="106"/>
    </row>
    <row r="19" spans="1:12" ht="30.75" customHeight="1" thickBot="1" x14ac:dyDescent="0.3">
      <c r="A19" s="136" t="s">
        <v>2</v>
      </c>
      <c r="B19" s="137"/>
      <c r="C19" s="138"/>
      <c r="D19" s="106"/>
      <c r="E19" s="74"/>
      <c r="F19" s="139" t="s">
        <v>56</v>
      </c>
      <c r="G19" s="140"/>
      <c r="H19" s="140"/>
      <c r="I19" s="141"/>
      <c r="J19" s="103"/>
    </row>
    <row r="20" spans="1:12" ht="15.75" thickBot="1" x14ac:dyDescent="0.3">
      <c r="A20" s="132" t="s">
        <v>49</v>
      </c>
      <c r="B20" s="133"/>
      <c r="C20" s="75">
        <f>IF(J8="DEPASSEMENT",(I8*C11*C13),Feuil1!B3)</f>
        <v>0.25</v>
      </c>
      <c r="D20" s="106"/>
      <c r="E20" s="76"/>
      <c r="F20" s="126" t="s">
        <v>35</v>
      </c>
      <c r="G20" s="127"/>
      <c r="H20" s="127"/>
      <c r="I20" s="77">
        <f>IF(J8="depassement",Feuil1!H4,Feuil1!H1)</f>
        <v>2.5</v>
      </c>
      <c r="J20" s="103"/>
    </row>
    <row r="21" spans="1:12" ht="16.5" customHeight="1" thickBot="1" x14ac:dyDescent="0.3">
      <c r="A21" s="132" t="s">
        <v>47</v>
      </c>
      <c r="B21" s="133"/>
      <c r="C21" s="75">
        <f>(IF(I12="OUI",(C20*34%),0))</f>
        <v>8.5000000000000006E-2</v>
      </c>
      <c r="D21" s="106"/>
      <c r="E21" s="76"/>
      <c r="F21" s="112"/>
      <c r="G21" s="109"/>
      <c r="H21" s="109"/>
      <c r="I21" s="113"/>
      <c r="J21" s="103"/>
    </row>
    <row r="22" spans="1:12" ht="16.5" customHeight="1" thickBot="1" x14ac:dyDescent="0.3">
      <c r="A22" s="134" t="s">
        <v>48</v>
      </c>
      <c r="B22" s="135"/>
      <c r="C22" s="78">
        <f>(IF(I13="OUI",(C20*10%),0))</f>
        <v>2.5000000000000001E-2</v>
      </c>
      <c r="D22" s="106"/>
      <c r="E22" s="76"/>
      <c r="F22" s="126" t="s">
        <v>37</v>
      </c>
      <c r="G22" s="127"/>
      <c r="H22" s="127"/>
      <c r="I22" s="79">
        <f>IF(J8="depassement",Feuil1!F4,Feuil1!F1)</f>
        <v>0.85</v>
      </c>
      <c r="J22" s="103"/>
      <c r="L22" s="114"/>
    </row>
    <row r="23" spans="1:12" ht="15.75" thickBot="1" x14ac:dyDescent="0.3">
      <c r="A23" s="111"/>
      <c r="B23" s="115"/>
      <c r="C23" s="72"/>
      <c r="D23" s="106"/>
      <c r="E23" s="106"/>
      <c r="F23" s="112"/>
      <c r="G23" s="109"/>
      <c r="H23" s="109"/>
      <c r="I23" s="113"/>
      <c r="J23" s="103"/>
      <c r="L23" s="114"/>
    </row>
    <row r="24" spans="1:12" ht="15.75" thickBot="1" x14ac:dyDescent="0.3">
      <c r="C24" s="80"/>
      <c r="F24" s="126" t="s">
        <v>36</v>
      </c>
      <c r="G24" s="127"/>
      <c r="H24" s="127"/>
      <c r="I24" s="81">
        <f>IF(J8="depassement",Feuil1!F5,Feuil1!F2)</f>
        <v>0.25</v>
      </c>
      <c r="L24" s="114"/>
    </row>
    <row r="25" spans="1:12" ht="15.75" thickBot="1" x14ac:dyDescent="0.3">
      <c r="C25" s="82"/>
      <c r="F25" s="83"/>
      <c r="G25" s="109"/>
      <c r="H25" s="109"/>
      <c r="I25" s="113"/>
    </row>
    <row r="26" spans="1:12" ht="15.75" thickBot="1" x14ac:dyDescent="0.3">
      <c r="C26" s="84"/>
      <c r="F26" s="126" t="s">
        <v>40</v>
      </c>
      <c r="G26" s="127"/>
      <c r="H26" s="127"/>
      <c r="I26" s="77">
        <f>IF(J8="depassement",Feuil1!B6,Feuil1!B1)</f>
        <v>3.6</v>
      </c>
    </row>
    <row r="27" spans="1:12" ht="15.75" thickBot="1" x14ac:dyDescent="0.3">
      <c r="A27" s="82"/>
      <c r="B27" s="82"/>
      <c r="C27" s="82"/>
      <c r="D27" s="80"/>
      <c r="E27" s="80"/>
      <c r="F27" s="116"/>
      <c r="G27" s="117"/>
      <c r="H27" s="117"/>
      <c r="I27" s="118"/>
    </row>
    <row r="28" spans="1:12" x14ac:dyDescent="0.25">
      <c r="A28" s="82"/>
      <c r="B28" s="82"/>
      <c r="C28" s="84"/>
      <c r="D28" s="84"/>
      <c r="E28" s="84"/>
    </row>
    <row r="29" spans="1:12" x14ac:dyDescent="0.25">
      <c r="A29" s="82"/>
      <c r="B29" s="85"/>
      <c r="C29" s="85"/>
      <c r="D29" s="86"/>
      <c r="E29" s="86"/>
      <c r="F29" s="119"/>
      <c r="G29" s="109"/>
      <c r="H29" s="109"/>
      <c r="I29" s="120"/>
      <c r="J29" s="87"/>
    </row>
    <row r="30" spans="1:12" x14ac:dyDescent="0.25">
      <c r="A30" s="82"/>
      <c r="B30" s="80"/>
      <c r="C30" s="85"/>
      <c r="D30" s="85"/>
      <c r="E30" s="85"/>
      <c r="F30" s="109"/>
      <c r="G30" s="109"/>
      <c r="H30" s="109"/>
      <c r="I30" s="120"/>
      <c r="J30" s="87"/>
    </row>
    <row r="31" spans="1:12" x14ac:dyDescent="0.25">
      <c r="J31" s="82"/>
      <c r="K31" s="82"/>
    </row>
    <row r="32" spans="1:12" x14ac:dyDescent="0.25">
      <c r="J32" s="82"/>
      <c r="K32" s="82"/>
    </row>
    <row r="33" spans="1:11" x14ac:dyDescent="0.25">
      <c r="J33" s="82"/>
      <c r="K33" s="82"/>
    </row>
    <row r="34" spans="1:11" x14ac:dyDescent="0.25">
      <c r="J34" s="82"/>
      <c r="K34" s="88"/>
    </row>
    <row r="35" spans="1:11" x14ac:dyDescent="0.25">
      <c r="J35" s="82"/>
      <c r="K35" s="82"/>
    </row>
    <row r="36" spans="1:11" x14ac:dyDescent="0.25">
      <c r="J36" s="82"/>
      <c r="K36" s="82"/>
    </row>
    <row r="37" spans="1:11" x14ac:dyDescent="0.25">
      <c r="A37" s="89"/>
      <c r="B37" s="89"/>
      <c r="C37" s="90"/>
      <c r="D37" s="91"/>
      <c r="E37" s="91"/>
      <c r="F37" s="84"/>
      <c r="G37" s="82"/>
      <c r="H37" s="82"/>
      <c r="I37" s="82"/>
      <c r="J37" s="82"/>
      <c r="K37" s="82"/>
    </row>
    <row r="38" spans="1:11" x14ac:dyDescent="0.25">
      <c r="A38" s="92"/>
      <c r="B38" s="89"/>
      <c r="J38" s="82"/>
      <c r="K38" s="82"/>
    </row>
    <row r="39" spans="1:11" x14ac:dyDescent="0.25">
      <c r="F39" s="82"/>
      <c r="G39" s="82"/>
      <c r="H39" s="82"/>
      <c r="I39" s="82"/>
      <c r="J39" s="82"/>
      <c r="K39" s="82"/>
    </row>
    <row r="40" spans="1:11" x14ac:dyDescent="0.25">
      <c r="A40" s="82"/>
      <c r="B40" s="82"/>
      <c r="C40" s="82"/>
      <c r="D40" s="82"/>
      <c r="E40" s="82"/>
      <c r="F40" s="82"/>
      <c r="G40" s="82"/>
      <c r="H40" s="82"/>
      <c r="I40" s="82"/>
      <c r="J40" s="82"/>
      <c r="K40" s="82"/>
    </row>
    <row r="41" spans="1:11" x14ac:dyDescent="0.25">
      <c r="A41" s="82"/>
      <c r="B41" s="82"/>
      <c r="C41" s="82"/>
      <c r="D41" s="82"/>
      <c r="E41" s="82"/>
      <c r="F41" s="82"/>
      <c r="G41" s="82"/>
      <c r="H41" s="82"/>
      <c r="I41" s="82"/>
      <c r="J41" s="82"/>
      <c r="K41" s="82"/>
    </row>
    <row r="42" spans="1:11" x14ac:dyDescent="0.25">
      <c r="A42" s="82"/>
      <c r="B42" s="93"/>
      <c r="C42" s="82"/>
      <c r="D42" s="92"/>
      <c r="E42" s="92"/>
      <c r="F42" s="82"/>
      <c r="G42" s="82"/>
      <c r="H42" s="82"/>
      <c r="I42" s="82"/>
      <c r="J42" s="82"/>
      <c r="K42" s="82"/>
    </row>
    <row r="43" spans="1:11" x14ac:dyDescent="0.25">
      <c r="A43" s="82"/>
      <c r="B43" s="82"/>
      <c r="C43" s="82"/>
      <c r="D43" s="82"/>
      <c r="E43" s="82"/>
      <c r="F43" s="82"/>
      <c r="G43" s="82"/>
      <c r="H43" s="82"/>
      <c r="I43" s="82"/>
      <c r="J43" s="82"/>
      <c r="K43" s="82"/>
    </row>
    <row r="44" spans="1:11" x14ac:dyDescent="0.25">
      <c r="A44" s="82"/>
      <c r="B44" s="82"/>
      <c r="C44" s="82"/>
      <c r="D44" s="82"/>
      <c r="E44" s="82"/>
      <c r="F44" s="82"/>
      <c r="G44" s="82"/>
      <c r="H44" s="82"/>
      <c r="I44" s="82"/>
      <c r="J44" s="82"/>
      <c r="K44" s="82"/>
    </row>
  </sheetData>
  <sheetProtection algorithmName="SHA-512" hashValue="+TYSSzcann4wV8KDEPPcGYdwZ9TDCnKFOTLKRFJ71Y8Ci8cg6cUp6UdYkxvoOFOhBB1hehD2EWZFEvgKUUBwcQ==" saltValue="Ym+SYmEzdAJ2YNOgEgzzKw==" spinCount="100000" sheet="1" objects="1" scenarios="1" selectLockedCells="1"/>
  <mergeCells count="20">
    <mergeCell ref="B1:I1"/>
    <mergeCell ref="C3:I3"/>
    <mergeCell ref="C4:I4"/>
    <mergeCell ref="A20:B20"/>
    <mergeCell ref="A21:B21"/>
    <mergeCell ref="C5:I5"/>
    <mergeCell ref="A19:C19"/>
    <mergeCell ref="F19:I19"/>
    <mergeCell ref="F20:H20"/>
    <mergeCell ref="F15:J15"/>
    <mergeCell ref="A8:B8"/>
    <mergeCell ref="A10:B10"/>
    <mergeCell ref="A11:B11"/>
    <mergeCell ref="A12:B12"/>
    <mergeCell ref="A13:B13"/>
    <mergeCell ref="A15:B15"/>
    <mergeCell ref="F26:H26"/>
    <mergeCell ref="A22:B22"/>
    <mergeCell ref="F22:H22"/>
    <mergeCell ref="F24:H24"/>
  </mergeCells>
  <conditionalFormatting sqref="J8">
    <cfRule type="cellIs" dxfId="0" priority="1" operator="equal">
      <formula>"DEPASSEMENT"</formula>
    </cfRule>
  </conditionalFormatting>
  <pageMargins left="0.7" right="0.7" top="0.28125" bottom="0.75" header="0.3" footer="0.3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A8B50B-8554-467F-8BB4-058CFF92D58F}">
  <dimension ref="A1:H6"/>
  <sheetViews>
    <sheetView workbookViewId="0">
      <selection activeCell="D35" sqref="D35:D37"/>
    </sheetView>
  </sheetViews>
  <sheetFormatPr baseColWidth="10" defaultRowHeight="15" x14ac:dyDescent="0.25"/>
  <sheetData>
    <row r="1" spans="1:8" ht="15.75" x14ac:dyDescent="0.25">
      <c r="A1" s="59" t="s">
        <v>32</v>
      </c>
      <c r="B1" s="60">
        <f>ROUND(((B3*'OUTIL CALCUL avec 34% et 10%'!C13*'OUTIL CALCUL avec 34% et 10%'!C11)+F1+F2),2)</f>
        <v>3.6</v>
      </c>
      <c r="C1" s="61" t="str">
        <f>IF('OUTIL CALCUL avec 34% et 10%'!I12="OUI","Montant de la Taxe additionnelle :","")</f>
        <v>Montant de la Taxe additionnelle :</v>
      </c>
      <c r="D1" s="59"/>
      <c r="E1" s="59"/>
      <c r="F1" s="59">
        <f>ROUND(IF('OUTIL CALCUL avec 34% et 10%'!I12="OUI",(H1*34%),0),2)</f>
        <v>0.85</v>
      </c>
      <c r="G1" s="59"/>
      <c r="H1" s="59">
        <f>(ROUND('OUTIL CALCUL avec 34% et 10%'!C15*'OUTIL CALCUL avec 34% et 10%'!I10,2)*('OUTIL CALCUL avec 34% et 10%'!C13*'OUTIL CALCUL avec 34% et 10%'!C11))</f>
        <v>2.5</v>
      </c>
    </row>
    <row r="2" spans="1:8" x14ac:dyDescent="0.25">
      <c r="A2" s="58"/>
      <c r="B2" s="58"/>
      <c r="C2" s="61" t="str">
        <f>IF('OUTIL CALCUL avec 34% et 10%'!I13="OUI","Montant de la Taxe additionnelle :","")</f>
        <v>Montant de la Taxe additionnelle :</v>
      </c>
      <c r="D2" s="59"/>
      <c r="E2" s="59"/>
      <c r="F2" s="59">
        <f>ROUND(IF('OUTIL CALCUL avec 34% et 10%'!I13="OUI",(H2*10%),0),2)</f>
        <v>0.25</v>
      </c>
      <c r="G2" s="59"/>
      <c r="H2" s="59">
        <f>(ROUND('OUTIL CALCUL avec 34% et 10%'!C15*'OUTIL CALCUL avec 34% et 10%'!I10,2)*('OUTIL CALCUL avec 34% et 10%'!C13*'OUTIL CALCUL avec 34% et 10%'!C11))</f>
        <v>2.5</v>
      </c>
    </row>
    <row r="3" spans="1:8" ht="15.75" x14ac:dyDescent="0.25">
      <c r="A3" s="62" t="s">
        <v>21</v>
      </c>
      <c r="B3" s="63">
        <f>ROUND('OUTIL CALCUL avec 34% et 10%'!C15*'OUTIL CALCUL avec 34% et 10%'!I10,2)</f>
        <v>0.25</v>
      </c>
      <c r="C3" s="64" t="str">
        <f>IF('OUTIL CALCUL avec 34% et 10%'!J8="DEPASSEMENT","!!!","")</f>
        <v/>
      </c>
      <c r="D3" s="65" t="s">
        <v>22</v>
      </c>
      <c r="E3" s="66" t="str">
        <f>IF(('OUTIL CALCUL avec 34% et 10%'!J8="DEPASSEMENT"),'OUTIL CALCUL avec 34% et 10%'!I8,"")</f>
        <v/>
      </c>
      <c r="F3" s="59" t="s">
        <v>23</v>
      </c>
      <c r="G3" s="59"/>
      <c r="H3" s="59">
        <f>IF('OUTIL CALCUL avec 34% et 10%'!J8="depassement",'OUTIL CALCUL avec 34% et 10%'!I8,H1)</f>
        <v>2.5</v>
      </c>
    </row>
    <row r="4" spans="1:8" ht="15.75" x14ac:dyDescent="0.25">
      <c r="A4" s="67" t="s">
        <v>33</v>
      </c>
      <c r="B4" s="63" t="str">
        <f>IF(('OUTIL CALCUL avec 34% et 10%'!J8="DEPASSEMENT"),'OUTIL CALCUL avec 34% et 10%'!I8*'OUTIL CALCUL avec 34% et 10%'!C13*'OUTIL CALCUL avec 34% et 10%'!C11,"")</f>
        <v/>
      </c>
      <c r="C4" s="61" t="str">
        <f>IF('OUTIL CALCUL avec 34% et 10%'!I12="OUI","Montant de la Taxe additionnelle :","")</f>
        <v>Montant de la Taxe additionnelle :</v>
      </c>
      <c r="D4" s="59"/>
      <c r="E4" s="59"/>
      <c r="F4" s="68">
        <f>IF('OUTIL CALCUL avec 34% et 10%'!I12="OUI",(H4*34%),0)</f>
        <v>0</v>
      </c>
      <c r="G4" s="59"/>
      <c r="H4" s="59">
        <f>IF(('OUTIL CALCUL avec 34% et 10%'!J8="DEPASSEMENT"),'OUTIL CALCUL avec 34% et 10%'!I8*'OUTIL CALCUL avec 34% et 10%'!C13*'OUTIL CALCUL avec 34% et 10%'!C11,0)</f>
        <v>0</v>
      </c>
    </row>
    <row r="5" spans="1:8" x14ac:dyDescent="0.25">
      <c r="A5" s="59"/>
      <c r="B5" s="59"/>
      <c r="C5" s="61" t="str">
        <f>IF('OUTIL CALCUL avec 34% et 10%'!I13="OUI","Montant de la Taxe additionnelle :","")</f>
        <v>Montant de la Taxe additionnelle :</v>
      </c>
      <c r="D5" s="59"/>
      <c r="E5" s="59"/>
      <c r="F5" s="68">
        <f>IF('OUTIL CALCUL avec 34% et 10%'!I13="OUI",(H5*10%),0)</f>
        <v>0</v>
      </c>
      <c r="G5" s="59"/>
      <c r="H5" s="59">
        <f>IF('OUTIL CALCUL avec 34% et 10%'!J8="DEPASSEMENT",'OUTIL CALCUL avec 34% et 10%'!I8*'OUTIL CALCUL avec 34% et 10%'!C13*'OUTIL CALCUL avec 34% et 10%'!C11,0)</f>
        <v>0</v>
      </c>
    </row>
    <row r="6" spans="1:8" ht="15.75" x14ac:dyDescent="0.25">
      <c r="A6" s="59" t="s">
        <v>34</v>
      </c>
      <c r="B6" s="60" t="str">
        <f>IF('OUTIL CALCUL avec 34% et 10%'!J8="DEPASSEMENT",B4+F4+F5,"")</f>
        <v/>
      </c>
      <c r="C6" s="58"/>
      <c r="D6" s="58"/>
      <c r="E6" s="58"/>
      <c r="F6" s="58"/>
      <c r="G6" s="58"/>
      <c r="H6" s="5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simulateur de vol</vt:lpstr>
      <vt:lpstr>OUTIL CALCUL avec 34% et 10%</vt:lpstr>
      <vt:lpstr>Feuil1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Jérôme DAUZATS</dc:creator>
  <cp:keywords/>
  <dc:description/>
  <cp:lastModifiedBy>Maé SIBERIL</cp:lastModifiedBy>
  <cp:revision/>
  <dcterms:created xsi:type="dcterms:W3CDTF">2017-12-15T15:19:02Z</dcterms:created>
  <dcterms:modified xsi:type="dcterms:W3CDTF">2025-04-16T09:12:41Z</dcterms:modified>
  <cp:category/>
  <cp:contentStatus/>
</cp:coreProperties>
</file>